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GRSHARES\Homes\NAU-STUDENTS\hhm8\Desktop\486-work\"/>
    </mc:Choice>
  </mc:AlternateContent>
  <bookViews>
    <workbookView xWindow="0" yWindow="0" windowWidth="28800" windowHeight="12585"/>
  </bookViews>
  <sheets>
    <sheet name="Sheet1" sheetId="1" r:id="rId1"/>
    <sheet name="Sheet4" sheetId="4" r:id="rId2"/>
    <sheet name="Sheet3" sheetId="3" r:id="rId3"/>
    <sheet name="Sheet2" sheetId="5" r:id="rId4"/>
    <sheet name="Sheet5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I16" i="1"/>
  <c r="E8" i="1"/>
  <c r="F9" i="1"/>
  <c r="H9" i="1" s="1"/>
  <c r="I9" i="1"/>
  <c r="K9" i="1" s="1"/>
  <c r="C16" i="1"/>
  <c r="E16" i="1" s="1"/>
  <c r="F8" i="1"/>
  <c r="H8" i="1" s="1"/>
  <c r="C8" i="1"/>
  <c r="D3" i="6" l="1"/>
  <c r="D4" i="6"/>
  <c r="D5" i="6"/>
  <c r="D2" i="6"/>
  <c r="B3" i="5" l="1"/>
  <c r="G7" i="5" s="1"/>
  <c r="B2" i="5"/>
  <c r="G3" i="5" l="1"/>
  <c r="G4" i="5"/>
  <c r="H4" i="5" s="1"/>
  <c r="G5" i="5"/>
  <c r="H5" i="5" s="1"/>
  <c r="G6" i="5"/>
  <c r="H3" i="5"/>
  <c r="H6" i="5"/>
  <c r="H7" i="5"/>
  <c r="B13" i="3"/>
  <c r="M24" i="1"/>
  <c r="P24" i="1"/>
  <c r="J24" i="1"/>
  <c r="G24" i="1"/>
  <c r="D24" i="1"/>
  <c r="C25" i="1" l="1"/>
  <c r="B16" i="3" s="1"/>
  <c r="D2" i="5" s="1"/>
  <c r="D3" i="5" s="1"/>
  <c r="B11" i="3"/>
  <c r="B7" i="4"/>
  <c r="F7" i="4" s="1"/>
  <c r="O23" i="1" s="1"/>
  <c r="Q23" i="1" s="1"/>
  <c r="B5" i="4"/>
  <c r="F5" i="4" s="1"/>
  <c r="B6" i="4"/>
  <c r="F6" i="4" s="1"/>
  <c r="B4" i="4"/>
  <c r="F4" i="4" s="1"/>
  <c r="B3" i="4"/>
  <c r="F3" i="4" s="1"/>
  <c r="L7" i="1" l="1"/>
  <c r="I3" i="1"/>
  <c r="I11" i="1"/>
  <c r="K11" i="1" s="1"/>
  <c r="I10" i="1"/>
  <c r="K10" i="1" s="1"/>
  <c r="F11" i="1"/>
  <c r="H11" i="1" s="1"/>
  <c r="F10" i="1"/>
  <c r="H10" i="1" s="1"/>
  <c r="F23" i="1"/>
  <c r="H23" i="1" s="1"/>
  <c r="C5" i="1"/>
  <c r="C10" i="1"/>
  <c r="E10" i="1" s="1"/>
  <c r="C11" i="1"/>
  <c r="E11" i="1" s="1"/>
  <c r="C19" i="1"/>
  <c r="E19" i="1" s="1"/>
  <c r="C13" i="1"/>
  <c r="E13" i="1" s="1"/>
  <c r="C14" i="1"/>
  <c r="E14" i="1" s="1"/>
  <c r="C18" i="1"/>
  <c r="E18" i="1" s="1"/>
  <c r="L10" i="1"/>
  <c r="L5" i="1"/>
  <c r="L4" i="1"/>
  <c r="I8" i="1"/>
  <c r="I5" i="1"/>
  <c r="I21" i="1"/>
  <c r="I4" i="1"/>
  <c r="I7" i="1"/>
  <c r="I23" i="1"/>
  <c r="C21" i="1"/>
  <c r="C4" i="1"/>
  <c r="C23" i="1"/>
  <c r="C22" i="1"/>
  <c r="C3" i="1"/>
  <c r="F16" i="1"/>
  <c r="F13" i="1"/>
  <c r="F7" i="1"/>
  <c r="O3" i="1"/>
  <c r="Q3" i="1" s="1"/>
  <c r="Q24" i="1" s="1"/>
  <c r="L16" i="1"/>
  <c r="F5" i="1"/>
  <c r="F19" i="1"/>
  <c r="F18" i="1"/>
  <c r="F4" i="1"/>
  <c r="F21" i="1"/>
  <c r="C7" i="1"/>
  <c r="B9" i="3"/>
  <c r="B8" i="3"/>
  <c r="B5" i="3"/>
  <c r="C3" i="3"/>
  <c r="B3" i="3" s="1"/>
  <c r="H4" i="1" l="1"/>
  <c r="H5" i="1"/>
  <c r="H7" i="1"/>
  <c r="H13" i="1"/>
  <c r="H16" i="1"/>
  <c r="H18" i="1"/>
  <c r="H19" i="1"/>
  <c r="H21" i="1"/>
  <c r="H24" i="1" l="1"/>
  <c r="N4" i="1"/>
  <c r="N5" i="1"/>
  <c r="N7" i="1"/>
  <c r="N10" i="1"/>
  <c r="N16" i="1"/>
  <c r="K3" i="1"/>
  <c r="K4" i="1"/>
  <c r="K5" i="1"/>
  <c r="K7" i="1"/>
  <c r="K8" i="1"/>
  <c r="K21" i="1"/>
  <c r="K23" i="1"/>
  <c r="E4" i="1"/>
  <c r="E5" i="1"/>
  <c r="E7" i="1"/>
  <c r="E21" i="1"/>
  <c r="E22" i="1"/>
  <c r="E23" i="1"/>
  <c r="E3" i="1"/>
  <c r="E24" i="1" l="1"/>
  <c r="K24" i="1"/>
  <c r="N24" i="1"/>
  <c r="C26" i="1" l="1"/>
  <c r="B15" i="3"/>
  <c r="C15" i="3" s="1"/>
  <c r="B17" i="3" s="1"/>
</calcChain>
</file>

<file path=xl/sharedStrings.xml><?xml version="1.0" encoding="utf-8"?>
<sst xmlns="http://schemas.openxmlformats.org/spreadsheetml/2006/main" count="106" uniqueCount="87">
  <si>
    <t>Task Number</t>
  </si>
  <si>
    <t>Project Manager Hourly Billable Rate</t>
  </si>
  <si>
    <t>Hours</t>
  </si>
  <si>
    <t>Cost</t>
  </si>
  <si>
    <t>Team Meetings</t>
  </si>
  <si>
    <t>Client/Advisor Meetings</t>
  </si>
  <si>
    <t>Coordination</t>
  </si>
  <si>
    <t>Project Management</t>
  </si>
  <si>
    <t>Data Collection</t>
  </si>
  <si>
    <t>Hydrologic Analysis</t>
  </si>
  <si>
    <t>Hydraulic Analysis</t>
  </si>
  <si>
    <t>Site Visits</t>
  </si>
  <si>
    <t>Research: Sinclair Wash Historical Data</t>
  </si>
  <si>
    <t>Site Inventory</t>
  </si>
  <si>
    <t>Surveying: Natural Channel</t>
  </si>
  <si>
    <t>Surveying: Culverts</t>
  </si>
  <si>
    <t>Watershed Deliniation</t>
  </si>
  <si>
    <t xml:space="preserve">Modeling </t>
  </si>
  <si>
    <t>Sediment Testing</t>
  </si>
  <si>
    <t>Flow Calculations: Channel</t>
  </si>
  <si>
    <t>Flow Calculations: Culverts</t>
  </si>
  <si>
    <t>Cost Analysis</t>
  </si>
  <si>
    <t>Document</t>
  </si>
  <si>
    <t>Base Pay Rate ($/hr)</t>
  </si>
  <si>
    <t>Benefits % of Base Pay Rate</t>
  </si>
  <si>
    <t>Profit % of Actual Pay</t>
  </si>
  <si>
    <t>Project Engineer: Hydrologist Hourly Billable Rate</t>
  </si>
  <si>
    <t>Engineering Technician: Surveyor Hourly Billable Rate</t>
  </si>
  <si>
    <t xml:space="preserve"> </t>
  </si>
  <si>
    <t>Project Manager</t>
  </si>
  <si>
    <t>Engineering Technician: Surveyor</t>
  </si>
  <si>
    <t>Total</t>
  </si>
  <si>
    <t>Office Rent</t>
  </si>
  <si>
    <t>Utilities</t>
  </si>
  <si>
    <t>Supplies</t>
  </si>
  <si>
    <t>Administration</t>
  </si>
  <si>
    <t>Water (Potable)</t>
  </si>
  <si>
    <t>Water (Non-Potable)</t>
  </si>
  <si>
    <t>Sewer</t>
  </si>
  <si>
    <t>Electricity</t>
  </si>
  <si>
    <t>Internet/Phone</t>
  </si>
  <si>
    <t>Daily Cost</t>
  </si>
  <si>
    <t>Civil 3D</t>
  </si>
  <si>
    <t>Liability Insurance</t>
  </si>
  <si>
    <t>Total for Project</t>
  </si>
  <si>
    <t>Hourly Billable Rate</t>
  </si>
  <si>
    <t>Job Title</t>
  </si>
  <si>
    <t>Project Engineer: Hydrologist</t>
  </si>
  <si>
    <t>Engineer in Training</t>
  </si>
  <si>
    <t>Engineer In Training Hourly Billable Rate</t>
  </si>
  <si>
    <t>Administrative</t>
  </si>
  <si>
    <t>Administrative Hourly Billing Rate</t>
  </si>
  <si>
    <t>Overhead% of Base Pay Rate</t>
  </si>
  <si>
    <t>Time Spent on Project</t>
  </si>
  <si>
    <t>hours</t>
  </si>
  <si>
    <t>Cost of Project</t>
  </si>
  <si>
    <t>Number of Hours</t>
  </si>
  <si>
    <t>/kWh</t>
  </si>
  <si>
    <t>/1000 gallons</t>
  </si>
  <si>
    <t>/month</t>
  </si>
  <si>
    <t>/licence</t>
  </si>
  <si>
    <t>/per month</t>
  </si>
  <si>
    <t>Dollars per</t>
  </si>
  <si>
    <t>/hour</t>
  </si>
  <si>
    <t>*OH as a % of Base Pay was calculated by taking the base pay divided by the hourly OH cost.</t>
  </si>
  <si>
    <t>Admin</t>
  </si>
  <si>
    <t>Surveyor</t>
  </si>
  <si>
    <t>E.I.T.</t>
  </si>
  <si>
    <t>Project Engineer</t>
  </si>
  <si>
    <t>Base Pay + OH</t>
  </si>
  <si>
    <t>OH as a % of Base Pay *</t>
  </si>
  <si>
    <t>Base Pay</t>
  </si>
  <si>
    <t>Employee Specifics</t>
  </si>
  <si>
    <t>Total Hours * Hourly OH Cost</t>
  </si>
  <si>
    <t>Project Specifics</t>
  </si>
  <si>
    <t>Based on an 8 hour work day</t>
  </si>
  <si>
    <t>Hourly Overhead Cost</t>
  </si>
  <si>
    <t>Daily Overhead Rate</t>
  </si>
  <si>
    <t>Overhead as a % of Base Pay</t>
  </si>
  <si>
    <t>Total Projected Hours</t>
  </si>
  <si>
    <t>Project Overhead</t>
  </si>
  <si>
    <t>Position</t>
  </si>
  <si>
    <t>Hourly Billing  Rate</t>
  </si>
  <si>
    <t>Total Number of Hours</t>
  </si>
  <si>
    <t>Final Submittal</t>
  </si>
  <si>
    <t>Suggested Design Alternitives</t>
  </si>
  <si>
    <t>Soil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</si>
</sst>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164" formatCode="&quot;$&quot;#,##0.00"/>
    <numFmt numFmtId="165" formatCode="0.0%"/>
    <numFmt numFmtId="166" formatCode="&quot;$&quot;#,##0.0000"/>
    <numFmt numFmtId="167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FFFF"/>
      <name val="Trebuchet MS"/>
      <family val="2"/>
    </font>
    <font>
      <sz val="18"/>
      <color rgb="FF000000"/>
      <name val="Trebuchet MS"/>
      <family val="2"/>
    </font>
    <font>
      <sz val="1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4B6D2"/>
        <bgColor indexed="64"/>
      </patternFill>
    </fill>
    <fill>
      <patternFill patternType="solid">
        <fgColor rgb="FFDCE5EE"/>
        <bgColor indexed="64"/>
      </patternFill>
    </fill>
    <fill>
      <patternFill patternType="solid">
        <fgColor rgb="FFEFF3F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Fill="1"/>
    <xf numFmtId="165" fontId="2" fillId="0" borderId="0" xfId="0" applyNumberFormat="1" applyFont="1" applyFill="1" applyAlignment="1">
      <alignment horizontal="right" vertical="center" readingOrder="1"/>
    </xf>
    <xf numFmtId="0" fontId="3" fillId="0" borderId="0" xfId="0" applyFont="1"/>
    <xf numFmtId="0" fontId="5" fillId="0" borderId="0" xfId="1"/>
    <xf numFmtId="0" fontId="6" fillId="0" borderId="0" xfId="0" applyFont="1"/>
    <xf numFmtId="164" fontId="4" fillId="0" borderId="0" xfId="0" applyNumberFormat="1" applyFont="1" applyFill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3" fillId="0" borderId="1" xfId="0" applyFont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wrapText="1"/>
    </xf>
    <xf numFmtId="164" fontId="0" fillId="0" borderId="1" xfId="0" applyNumberFormat="1" applyFont="1" applyBorder="1" applyAlignment="1"/>
    <xf numFmtId="165" fontId="2" fillId="0" borderId="1" xfId="0" applyNumberFormat="1" applyFont="1" applyFill="1" applyBorder="1" applyAlignment="1">
      <alignment horizontal="right"/>
    </xf>
    <xf numFmtId="164" fontId="0" fillId="0" borderId="1" xfId="0" applyNumberFormat="1" applyFill="1" applyBorder="1" applyAlignment="1"/>
    <xf numFmtId="0" fontId="1" fillId="0" borderId="1" xfId="0" applyFont="1" applyBorder="1" applyAlignment="1">
      <alignment wrapText="1"/>
    </xf>
    <xf numFmtId="165" fontId="0" fillId="0" borderId="1" xfId="0" applyNumberFormat="1" applyBorder="1" applyAlignment="1"/>
    <xf numFmtId="165" fontId="0" fillId="0" borderId="1" xfId="0" applyNumberFormat="1" applyFill="1" applyBorder="1"/>
    <xf numFmtId="165" fontId="2" fillId="0" borderId="1" xfId="0" applyNumberFormat="1" applyFont="1" applyFill="1" applyBorder="1" applyAlignment="1">
      <alignment horizontal="right" vertical="center" readingOrder="1"/>
    </xf>
    <xf numFmtId="165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166" fontId="0" fillId="0" borderId="1" xfId="0" applyNumberFormat="1" applyBorder="1"/>
    <xf numFmtId="164" fontId="0" fillId="0" borderId="3" xfId="0" applyNumberForma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/>
    </xf>
    <xf numFmtId="10" fontId="0" fillId="0" borderId="4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Border="1"/>
    <xf numFmtId="164" fontId="0" fillId="0" borderId="5" xfId="0" applyNumberFormat="1" applyBorder="1" applyAlignment="1">
      <alignment horizontal="center" vertical="center"/>
    </xf>
    <xf numFmtId="164" fontId="0" fillId="0" borderId="3" xfId="0" applyNumberFormat="1" applyBorder="1"/>
    <xf numFmtId="0" fontId="0" fillId="0" borderId="4" xfId="0" applyBorder="1" applyAlignment="1">
      <alignment horizontal="left" vertical="center"/>
    </xf>
    <xf numFmtId="0" fontId="0" fillId="0" borderId="9" xfId="0" applyBorder="1"/>
    <xf numFmtId="0" fontId="0" fillId="0" borderId="11" xfId="0" applyBorder="1"/>
    <xf numFmtId="0" fontId="0" fillId="0" borderId="8" xfId="0" applyBorder="1" applyAlignment="1">
      <alignment horizontal="left" vertical="center"/>
    </xf>
    <xf numFmtId="164" fontId="0" fillId="0" borderId="12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12" xfId="0" applyFont="1" applyBorder="1" applyAlignment="1">
      <alignment horizontal="center" vertical="center" wrapText="1"/>
    </xf>
    <xf numFmtId="167" fontId="0" fillId="0" borderId="1" xfId="0" applyNumberFormat="1" applyFill="1" applyBorder="1" applyAlignment="1"/>
    <xf numFmtId="0" fontId="7" fillId="7" borderId="13" xfId="0" applyFont="1" applyFill="1" applyBorder="1" applyAlignment="1">
      <alignment horizontal="left" vertical="center" wrapText="1" readingOrder="1"/>
    </xf>
    <xf numFmtId="0" fontId="8" fillId="8" borderId="14" xfId="0" applyFont="1" applyFill="1" applyBorder="1" applyAlignment="1">
      <alignment horizontal="left" vertical="center" wrapText="1" readingOrder="1"/>
    </xf>
    <xf numFmtId="6" fontId="9" fillId="8" borderId="14" xfId="0" applyNumberFormat="1" applyFont="1" applyFill="1" applyBorder="1" applyAlignment="1">
      <alignment horizontal="left" vertical="top" wrapText="1" readingOrder="1"/>
    </xf>
    <xf numFmtId="0" fontId="8" fillId="9" borderId="15" xfId="0" applyFont="1" applyFill="1" applyBorder="1" applyAlignment="1">
      <alignment horizontal="left" vertical="center" wrapText="1" readingOrder="1"/>
    </xf>
    <xf numFmtId="0" fontId="8" fillId="8" borderId="15" xfId="0" applyFont="1" applyFill="1" applyBorder="1" applyAlignment="1">
      <alignment horizontal="left" vertical="center" wrapText="1" readingOrder="1"/>
    </xf>
    <xf numFmtId="6" fontId="8" fillId="8" borderId="14" xfId="0" applyNumberFormat="1" applyFont="1" applyFill="1" applyBorder="1" applyAlignment="1">
      <alignment horizontal="left" vertical="center" wrapText="1" readingOrder="1"/>
    </xf>
    <xf numFmtId="6" fontId="8" fillId="9" borderId="15" xfId="0" applyNumberFormat="1" applyFont="1" applyFill="1" applyBorder="1" applyAlignment="1">
      <alignment horizontal="left" vertical="center" wrapText="1" readingOrder="1"/>
    </xf>
    <xf numFmtId="6" fontId="8" fillId="8" borderId="15" xfId="0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0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view="pageLayout" zoomScaleNormal="100" workbookViewId="0">
      <selection activeCell="D15" sqref="D15"/>
    </sheetView>
  </sheetViews>
  <sheetFormatPr defaultRowHeight="15" x14ac:dyDescent="0.25"/>
  <cols>
    <col min="1" max="1" width="12.5703125" bestFit="1" customWidth="1"/>
    <col min="2" max="2" width="38.42578125" bestFit="1" customWidth="1"/>
    <col min="3" max="3" width="15.5703125" customWidth="1"/>
    <col min="4" max="4" width="10.7109375" bestFit="1" customWidth="1"/>
    <col min="5" max="5" width="10.140625" bestFit="1" customWidth="1"/>
    <col min="6" max="6" width="17.5703125" customWidth="1"/>
    <col min="8" max="8" width="10.140625" bestFit="1" customWidth="1"/>
    <col min="9" max="9" width="15.42578125" customWidth="1"/>
    <col min="12" max="12" width="19.42578125" bestFit="1" customWidth="1"/>
    <col min="15" max="15" width="14.28515625" bestFit="1" customWidth="1"/>
  </cols>
  <sheetData>
    <row r="1" spans="1:17" ht="50.25" customHeight="1" x14ac:dyDescent="0.25">
      <c r="A1" s="31" t="s">
        <v>0</v>
      </c>
      <c r="B1" s="16"/>
      <c r="C1" s="32" t="s">
        <v>1</v>
      </c>
      <c r="D1" s="33" t="s">
        <v>2</v>
      </c>
      <c r="E1" s="33" t="s">
        <v>3</v>
      </c>
      <c r="F1" s="34" t="s">
        <v>26</v>
      </c>
      <c r="G1" s="35" t="s">
        <v>2</v>
      </c>
      <c r="H1" s="35" t="s">
        <v>3</v>
      </c>
      <c r="I1" s="36" t="s">
        <v>49</v>
      </c>
      <c r="J1" s="37" t="s">
        <v>2</v>
      </c>
      <c r="K1" s="37" t="s">
        <v>3</v>
      </c>
      <c r="L1" s="38" t="s">
        <v>27</v>
      </c>
      <c r="M1" s="39" t="s">
        <v>2</v>
      </c>
      <c r="N1" s="39" t="s">
        <v>3</v>
      </c>
      <c r="O1" s="40" t="s">
        <v>51</v>
      </c>
      <c r="P1" s="41" t="s">
        <v>2</v>
      </c>
      <c r="Q1" s="41" t="s">
        <v>3</v>
      </c>
    </row>
    <row r="2" spans="1:17" x14ac:dyDescent="0.25">
      <c r="A2" s="9">
        <v>1</v>
      </c>
      <c r="B2" s="10" t="s">
        <v>7</v>
      </c>
      <c r="C2" s="11"/>
      <c r="D2" s="12"/>
      <c r="E2" s="11"/>
      <c r="F2" s="13"/>
      <c r="G2" s="12"/>
      <c r="H2" s="7"/>
      <c r="I2" s="13"/>
      <c r="J2" s="7"/>
      <c r="K2" s="7"/>
      <c r="L2" s="13"/>
      <c r="M2" s="7"/>
      <c r="N2" s="7"/>
      <c r="O2" s="13"/>
      <c r="P2" s="7"/>
      <c r="Q2" s="7"/>
    </row>
    <row r="3" spans="1:17" x14ac:dyDescent="0.25">
      <c r="A3" s="14">
        <v>1.1000000000000001</v>
      </c>
      <c r="B3" s="7" t="s">
        <v>6</v>
      </c>
      <c r="C3" s="11">
        <f>Sheet4!F$3</f>
        <v>82.655809375000004</v>
      </c>
      <c r="D3" s="12">
        <v>3</v>
      </c>
      <c r="E3" s="11">
        <f>C3*D3</f>
        <v>247.96742812500003</v>
      </c>
      <c r="F3" s="13"/>
      <c r="G3" s="12"/>
      <c r="H3" s="13"/>
      <c r="I3" s="13">
        <f>Sheet4!F$5</f>
        <v>52.505330769230774</v>
      </c>
      <c r="J3" s="7">
        <v>3</v>
      </c>
      <c r="K3" s="13">
        <f>I3*J3</f>
        <v>157.51599230769233</v>
      </c>
      <c r="L3" s="13"/>
      <c r="M3" s="7"/>
      <c r="N3" s="7"/>
      <c r="O3" s="13">
        <f>Sheet4!F$7</f>
        <v>46.33719360576923</v>
      </c>
      <c r="P3" s="7">
        <v>4</v>
      </c>
      <c r="Q3" s="13">
        <f>O3*P3</f>
        <v>185.34877442307692</v>
      </c>
    </row>
    <row r="4" spans="1:17" x14ac:dyDescent="0.25">
      <c r="A4" s="15">
        <v>1.2</v>
      </c>
      <c r="B4" s="7" t="s">
        <v>4</v>
      </c>
      <c r="C4" s="11">
        <f>Sheet4!F$3</f>
        <v>82.655809375000004</v>
      </c>
      <c r="D4" s="12">
        <v>60</v>
      </c>
      <c r="E4" s="11">
        <f>C4*D4</f>
        <v>4959.3485625000003</v>
      </c>
      <c r="F4" s="13">
        <f>Sheet4!F$4</f>
        <v>67.66538461538461</v>
      </c>
      <c r="G4" s="12">
        <v>50</v>
      </c>
      <c r="H4" s="13">
        <f>F4*G4</f>
        <v>3383.2692307692305</v>
      </c>
      <c r="I4" s="13">
        <f>Sheet4!F$5</f>
        <v>52.505330769230774</v>
      </c>
      <c r="J4" s="7">
        <v>60</v>
      </c>
      <c r="K4" s="13">
        <f>I4*J4</f>
        <v>3150.3198461538464</v>
      </c>
      <c r="L4" s="13">
        <f>Sheet4!F$6</f>
        <v>47.696505769230768</v>
      </c>
      <c r="M4" s="7">
        <v>32</v>
      </c>
      <c r="N4" s="13">
        <f>L4*M4</f>
        <v>1526.2881846153846</v>
      </c>
      <c r="O4" s="13"/>
      <c r="P4" s="7"/>
      <c r="Q4" s="13"/>
    </row>
    <row r="5" spans="1:17" x14ac:dyDescent="0.25">
      <c r="A5" s="14">
        <v>1.3</v>
      </c>
      <c r="B5" s="7" t="s">
        <v>5</v>
      </c>
      <c r="C5" s="11">
        <f>Sheet4!F$3</f>
        <v>82.655809375000004</v>
      </c>
      <c r="D5" s="12">
        <v>5</v>
      </c>
      <c r="E5" s="11">
        <f>C5*D5</f>
        <v>413.27904687500001</v>
      </c>
      <c r="F5" s="13">
        <f>Sheet4!F$4</f>
        <v>67.66538461538461</v>
      </c>
      <c r="G5" s="12">
        <v>5</v>
      </c>
      <c r="H5" s="13">
        <f>F5*G5</f>
        <v>338.32692307692304</v>
      </c>
      <c r="I5" s="13">
        <f>Sheet4!F$5</f>
        <v>52.505330769230774</v>
      </c>
      <c r="J5" s="7">
        <v>5</v>
      </c>
      <c r="K5" s="13">
        <f>I5*J5</f>
        <v>262.52665384615386</v>
      </c>
      <c r="L5" s="13">
        <f>Sheet4!F$6</f>
        <v>47.696505769230768</v>
      </c>
      <c r="M5" s="7">
        <v>5</v>
      </c>
      <c r="N5" s="13">
        <f t="shared" ref="N5:N16" si="0">L5*M5</f>
        <v>238.48252884615385</v>
      </c>
      <c r="O5" s="13"/>
      <c r="P5" s="7"/>
      <c r="Q5" s="13"/>
    </row>
    <row r="6" spans="1:17" x14ac:dyDescent="0.25">
      <c r="A6" s="9">
        <v>2</v>
      </c>
      <c r="B6" s="10" t="s">
        <v>8</v>
      </c>
      <c r="C6" s="11"/>
      <c r="D6" s="12"/>
      <c r="E6" s="11"/>
      <c r="F6" s="13"/>
      <c r="G6" s="12"/>
      <c r="H6" s="13"/>
      <c r="I6" s="13"/>
      <c r="J6" s="7"/>
      <c r="K6" s="13"/>
      <c r="L6" s="13"/>
      <c r="M6" s="7"/>
      <c r="N6" s="13"/>
      <c r="O6" s="13"/>
      <c r="P6" s="7"/>
      <c r="Q6" s="13"/>
    </row>
    <row r="7" spans="1:17" x14ac:dyDescent="0.25">
      <c r="A7" s="14">
        <v>2.1</v>
      </c>
      <c r="B7" s="7" t="s">
        <v>11</v>
      </c>
      <c r="C7" s="11">
        <f>Sheet4!F$3</f>
        <v>82.655809375000004</v>
      </c>
      <c r="D7" s="12">
        <v>4</v>
      </c>
      <c r="E7" s="11">
        <f>C7*D7</f>
        <v>330.62323750000002</v>
      </c>
      <c r="F7" s="13">
        <f>Sheet4!F$4</f>
        <v>67.66538461538461</v>
      </c>
      <c r="G7" s="12">
        <v>4</v>
      </c>
      <c r="H7" s="13">
        <f>F7*G7</f>
        <v>270.66153846153844</v>
      </c>
      <c r="I7" s="13">
        <f>Sheet4!F$5</f>
        <v>52.505330769230774</v>
      </c>
      <c r="J7" s="7">
        <v>4</v>
      </c>
      <c r="K7" s="13">
        <f>I7*J7</f>
        <v>210.0213230769231</v>
      </c>
      <c r="L7" s="13">
        <f>Sheet4!F$6</f>
        <v>47.696505769230768</v>
      </c>
      <c r="M7" s="7">
        <v>4</v>
      </c>
      <c r="N7" s="13">
        <f t="shared" si="0"/>
        <v>190.78602307692307</v>
      </c>
      <c r="O7" s="13"/>
      <c r="P7" s="7"/>
      <c r="Q7" s="13"/>
    </row>
    <row r="8" spans="1:17" x14ac:dyDescent="0.25">
      <c r="A8" s="14">
        <v>2.2000000000000002</v>
      </c>
      <c r="B8" s="7" t="s">
        <v>12</v>
      </c>
      <c r="C8" s="11">
        <f>Sheet4!F$3</f>
        <v>82.655809375000004</v>
      </c>
      <c r="D8" s="12">
        <v>4</v>
      </c>
      <c r="E8" s="11">
        <f>C8*D8</f>
        <v>330.62323750000002</v>
      </c>
      <c r="F8" s="13">
        <f>Sheet4!F$4</f>
        <v>67.66538461538461</v>
      </c>
      <c r="G8" s="12">
        <v>4</v>
      </c>
      <c r="H8" s="13">
        <f t="shared" ref="H8:H9" si="1">F8*G8</f>
        <v>270.66153846153844</v>
      </c>
      <c r="I8" s="13">
        <f>Sheet4!F$5</f>
        <v>52.505330769230774</v>
      </c>
      <c r="J8" s="7">
        <v>8</v>
      </c>
      <c r="K8" s="13">
        <f>I8*J8</f>
        <v>420.04264615384619</v>
      </c>
      <c r="L8" s="13"/>
      <c r="M8" s="7"/>
      <c r="N8" s="13"/>
      <c r="O8" s="13"/>
      <c r="P8" s="7"/>
      <c r="Q8" s="13"/>
    </row>
    <row r="9" spans="1:17" x14ac:dyDescent="0.25">
      <c r="A9" s="14">
        <v>2.5</v>
      </c>
      <c r="B9" s="7" t="s">
        <v>13</v>
      </c>
      <c r="C9" s="11"/>
      <c r="D9" s="12"/>
      <c r="E9" s="11"/>
      <c r="F9" s="13">
        <f>Sheet4!F$4</f>
        <v>67.66538461538461</v>
      </c>
      <c r="G9" s="12">
        <v>4</v>
      </c>
      <c r="H9" s="13">
        <f t="shared" si="1"/>
        <v>270.66153846153844</v>
      </c>
      <c r="I9" s="13">
        <f>Sheet4!F$5</f>
        <v>52.505330769230774</v>
      </c>
      <c r="J9" s="7">
        <v>7</v>
      </c>
      <c r="K9" s="13">
        <f>I9*J9</f>
        <v>367.5373153846154</v>
      </c>
      <c r="L9" s="13"/>
      <c r="M9" s="7"/>
      <c r="N9" s="13"/>
      <c r="O9" s="13"/>
      <c r="P9" s="7"/>
      <c r="Q9" s="13"/>
    </row>
    <row r="10" spans="1:17" x14ac:dyDescent="0.25">
      <c r="A10" s="14">
        <v>2.6</v>
      </c>
      <c r="B10" s="7" t="s">
        <v>14</v>
      </c>
      <c r="C10" s="11">
        <f>Sheet4!F$3</f>
        <v>82.655809375000004</v>
      </c>
      <c r="D10" s="12">
        <v>10</v>
      </c>
      <c r="E10" s="11">
        <f t="shared" ref="E10:E19" si="2">C10*D10</f>
        <v>826.55809375000001</v>
      </c>
      <c r="F10" s="13">
        <f>Sheet4!F$4</f>
        <v>67.66538461538461</v>
      </c>
      <c r="G10" s="12">
        <v>10</v>
      </c>
      <c r="H10" s="13">
        <f t="shared" ref="H10:H11" si="3">F10*G10</f>
        <v>676.65384615384608</v>
      </c>
      <c r="I10" s="13">
        <f>Sheet4!F$5</f>
        <v>52.505330769230774</v>
      </c>
      <c r="J10" s="7">
        <v>10</v>
      </c>
      <c r="K10" s="13">
        <f t="shared" ref="K10:K16" si="4">I10*J10</f>
        <v>525.05330769230773</v>
      </c>
      <c r="L10" s="13">
        <f>Sheet4!F$6</f>
        <v>47.696505769230768</v>
      </c>
      <c r="M10" s="7">
        <v>7</v>
      </c>
      <c r="N10" s="13">
        <f t="shared" si="0"/>
        <v>333.87554038461536</v>
      </c>
      <c r="O10" s="13"/>
      <c r="P10" s="7"/>
      <c r="Q10" s="13"/>
    </row>
    <row r="11" spans="1:17" x14ac:dyDescent="0.25">
      <c r="A11" s="14">
        <v>2.7</v>
      </c>
      <c r="B11" s="7" t="s">
        <v>15</v>
      </c>
      <c r="C11" s="11">
        <f>Sheet4!F$3</f>
        <v>82.655809375000004</v>
      </c>
      <c r="D11" s="12">
        <v>10</v>
      </c>
      <c r="E11" s="11">
        <f t="shared" si="2"/>
        <v>826.55809375000001</v>
      </c>
      <c r="F11" s="13">
        <f>Sheet4!F$4</f>
        <v>67.66538461538461</v>
      </c>
      <c r="G11" s="12">
        <v>14</v>
      </c>
      <c r="H11" s="13">
        <f t="shared" si="3"/>
        <v>947.31538461538457</v>
      </c>
      <c r="I11" s="13">
        <f>Sheet4!F$5</f>
        <v>52.505330769230774</v>
      </c>
      <c r="J11" s="7">
        <v>10</v>
      </c>
      <c r="K11" s="13">
        <f t="shared" si="4"/>
        <v>525.05330769230773</v>
      </c>
      <c r="L11" s="13"/>
      <c r="M11" s="7"/>
      <c r="N11" s="13"/>
      <c r="O11" s="13"/>
      <c r="P11" s="7"/>
      <c r="Q11" s="13"/>
    </row>
    <row r="12" spans="1:17" x14ac:dyDescent="0.25">
      <c r="A12" s="9">
        <v>3</v>
      </c>
      <c r="B12" s="10" t="s">
        <v>9</v>
      </c>
      <c r="C12" s="11"/>
      <c r="D12" s="12"/>
      <c r="E12" s="11"/>
      <c r="F12" s="13"/>
      <c r="G12" s="12"/>
      <c r="H12" s="13"/>
      <c r="I12" s="13"/>
      <c r="J12" s="7"/>
      <c r="K12" s="13"/>
      <c r="L12" s="13"/>
      <c r="M12" s="7"/>
      <c r="N12" s="13"/>
      <c r="O12" s="13"/>
      <c r="P12" s="7"/>
      <c r="Q12" s="13"/>
    </row>
    <row r="13" spans="1:17" x14ac:dyDescent="0.25">
      <c r="A13" s="16">
        <v>3.1</v>
      </c>
      <c r="B13" s="17" t="s">
        <v>16</v>
      </c>
      <c r="C13" s="11">
        <f>Sheet4!F$3</f>
        <v>82.655809375000004</v>
      </c>
      <c r="D13" s="12">
        <v>20</v>
      </c>
      <c r="E13" s="11">
        <f t="shared" si="2"/>
        <v>1653.1161875</v>
      </c>
      <c r="F13" s="13">
        <f>Sheet4!F$4</f>
        <v>67.66538461538461</v>
      </c>
      <c r="G13" s="12">
        <v>5</v>
      </c>
      <c r="H13" s="13">
        <f>F13*G13</f>
        <v>338.32692307692304</v>
      </c>
      <c r="I13" s="13"/>
      <c r="J13" s="7"/>
      <c r="K13" s="13"/>
      <c r="L13" s="13"/>
      <c r="M13" s="7"/>
      <c r="N13" s="13"/>
      <c r="O13" s="13"/>
      <c r="P13" s="7"/>
      <c r="Q13" s="13"/>
    </row>
    <row r="14" spans="1:17" x14ac:dyDescent="0.25">
      <c r="A14" s="16">
        <v>3.2</v>
      </c>
      <c r="B14" s="17" t="s">
        <v>17</v>
      </c>
      <c r="C14" s="11">
        <f>Sheet4!F$3</f>
        <v>82.655809375000004</v>
      </c>
      <c r="D14" s="12">
        <v>60</v>
      </c>
      <c r="E14" s="11">
        <f t="shared" si="2"/>
        <v>4959.3485625000003</v>
      </c>
      <c r="F14" s="13"/>
      <c r="G14" s="12"/>
      <c r="H14" s="13"/>
      <c r="I14" s="13"/>
      <c r="J14" s="7"/>
      <c r="K14" s="13"/>
      <c r="L14" s="13"/>
      <c r="M14" s="7"/>
      <c r="N14" s="13"/>
      <c r="O14" s="13"/>
      <c r="P14" s="7"/>
      <c r="Q14" s="13"/>
    </row>
    <row r="15" spans="1:17" x14ac:dyDescent="0.25">
      <c r="A15" s="9">
        <v>4</v>
      </c>
      <c r="B15" s="10" t="s">
        <v>86</v>
      </c>
      <c r="C15" s="11"/>
      <c r="D15" s="12"/>
      <c r="E15" s="11"/>
      <c r="F15" s="13"/>
      <c r="G15" s="12"/>
      <c r="H15" s="13"/>
      <c r="I15" s="13"/>
      <c r="J15" s="7"/>
      <c r="K15" s="13"/>
      <c r="L15" s="13"/>
      <c r="M15" s="7"/>
      <c r="N15" s="13"/>
      <c r="O15" s="13"/>
      <c r="P15" s="7"/>
      <c r="Q15" s="13"/>
    </row>
    <row r="16" spans="1:17" x14ac:dyDescent="0.25">
      <c r="A16" s="16">
        <v>4.0999999999999996</v>
      </c>
      <c r="B16" s="17" t="s">
        <v>18</v>
      </c>
      <c r="C16" s="11">
        <f>Sheet4!F$3</f>
        <v>82.655809375000004</v>
      </c>
      <c r="D16" s="12">
        <v>5</v>
      </c>
      <c r="E16" s="11">
        <f t="shared" si="2"/>
        <v>413.27904687500001</v>
      </c>
      <c r="F16" s="13">
        <f>Sheet4!F$4</f>
        <v>67.66538461538461</v>
      </c>
      <c r="G16" s="12">
        <v>8</v>
      </c>
      <c r="H16" s="13">
        <f>F16*G16</f>
        <v>541.32307692307688</v>
      </c>
      <c r="I16" s="13">
        <f>Sheet4!F$5</f>
        <v>52.505330769230774</v>
      </c>
      <c r="J16" s="7">
        <v>5</v>
      </c>
      <c r="K16" s="13">
        <f t="shared" si="4"/>
        <v>262.52665384615386</v>
      </c>
      <c r="L16" s="13">
        <f>Sheet4!F$6</f>
        <v>47.696505769230768</v>
      </c>
      <c r="M16" s="7">
        <v>5</v>
      </c>
      <c r="N16" s="13">
        <f t="shared" si="0"/>
        <v>238.48252884615385</v>
      </c>
      <c r="O16" s="13"/>
      <c r="P16" s="7"/>
      <c r="Q16" s="13"/>
    </row>
    <row r="17" spans="1:17" x14ac:dyDescent="0.25">
      <c r="A17" s="9">
        <v>5</v>
      </c>
      <c r="B17" s="10" t="s">
        <v>10</v>
      </c>
      <c r="C17" s="11"/>
      <c r="D17" s="12"/>
      <c r="E17" s="11"/>
      <c r="F17" s="13"/>
      <c r="G17" s="12"/>
      <c r="H17" s="13"/>
      <c r="I17" s="13"/>
      <c r="J17" s="7"/>
      <c r="K17" s="13"/>
      <c r="L17" s="13"/>
      <c r="M17" s="7"/>
      <c r="N17" s="13"/>
      <c r="O17" s="13"/>
      <c r="P17" s="7"/>
      <c r="Q17" s="13"/>
    </row>
    <row r="18" spans="1:17" x14ac:dyDescent="0.25">
      <c r="A18" s="16">
        <v>5.0999999999999996</v>
      </c>
      <c r="B18" s="17" t="s">
        <v>19</v>
      </c>
      <c r="C18" s="11">
        <f>Sheet4!F$3</f>
        <v>82.655809375000004</v>
      </c>
      <c r="D18" s="12">
        <v>10</v>
      </c>
      <c r="E18" s="11">
        <f t="shared" si="2"/>
        <v>826.55809375000001</v>
      </c>
      <c r="F18" s="13">
        <f>Sheet4!F$4</f>
        <v>67.66538461538461</v>
      </c>
      <c r="G18" s="12">
        <v>2</v>
      </c>
      <c r="H18" s="13">
        <f>F18*G18</f>
        <v>135.33076923076922</v>
      </c>
      <c r="I18" s="13"/>
      <c r="J18" s="7"/>
      <c r="K18" s="13"/>
      <c r="L18" s="13"/>
      <c r="M18" s="7"/>
      <c r="N18" s="13"/>
      <c r="O18" s="13"/>
      <c r="P18" s="7"/>
      <c r="Q18" s="13"/>
    </row>
    <row r="19" spans="1:17" x14ac:dyDescent="0.25">
      <c r="A19" s="16">
        <v>5.2</v>
      </c>
      <c r="B19" s="17" t="s">
        <v>20</v>
      </c>
      <c r="C19" s="11">
        <f>Sheet4!F$3</f>
        <v>82.655809375000004</v>
      </c>
      <c r="D19" s="12">
        <v>10</v>
      </c>
      <c r="E19" s="11">
        <f t="shared" si="2"/>
        <v>826.55809375000001</v>
      </c>
      <c r="F19" s="13">
        <f>Sheet4!F$4</f>
        <v>67.66538461538461</v>
      </c>
      <c r="G19" s="12">
        <v>2</v>
      </c>
      <c r="H19" s="13">
        <f>F19*G19</f>
        <v>135.33076923076922</v>
      </c>
      <c r="I19" s="13"/>
      <c r="J19" s="7"/>
      <c r="K19" s="13"/>
      <c r="L19" s="13"/>
      <c r="M19" s="7"/>
      <c r="N19" s="13"/>
      <c r="O19" s="13"/>
      <c r="P19" s="7"/>
      <c r="Q19" s="13"/>
    </row>
    <row r="20" spans="1:17" x14ac:dyDescent="0.25">
      <c r="A20" s="9">
        <v>7</v>
      </c>
      <c r="B20" s="10" t="s">
        <v>84</v>
      </c>
      <c r="C20" s="11"/>
      <c r="D20" s="12"/>
      <c r="E20" s="11"/>
      <c r="F20" s="13"/>
      <c r="G20" s="12"/>
      <c r="H20" s="13"/>
      <c r="I20" s="13"/>
      <c r="J20" s="7"/>
      <c r="K20" s="13"/>
      <c r="L20" s="13"/>
      <c r="M20" s="7"/>
      <c r="N20" s="13"/>
      <c r="O20" s="13"/>
      <c r="P20" s="7"/>
      <c r="Q20" s="13"/>
    </row>
    <row r="21" spans="1:17" x14ac:dyDescent="0.25">
      <c r="A21" s="16">
        <v>7.1</v>
      </c>
      <c r="B21" s="17" t="s">
        <v>85</v>
      </c>
      <c r="C21" s="11">
        <f>Sheet4!F$3</f>
        <v>82.655809375000004</v>
      </c>
      <c r="D21" s="12">
        <v>30</v>
      </c>
      <c r="E21" s="11">
        <f>C21*D21</f>
        <v>2479.6742812500001</v>
      </c>
      <c r="F21" s="13">
        <f>Sheet4!F$4</f>
        <v>67.66538461538461</v>
      </c>
      <c r="G21" s="12">
        <v>20</v>
      </c>
      <c r="H21" s="13">
        <f>F21*G21</f>
        <v>1353.3076923076922</v>
      </c>
      <c r="I21" s="13">
        <f>Sheet4!F$5</f>
        <v>52.505330769230774</v>
      </c>
      <c r="J21" s="7">
        <v>10</v>
      </c>
      <c r="K21" s="13">
        <f>I21*J21</f>
        <v>525.05330769230773</v>
      </c>
      <c r="L21" s="13"/>
      <c r="M21" s="7"/>
      <c r="N21" s="13"/>
      <c r="O21" s="13"/>
      <c r="P21" s="7"/>
      <c r="Q21" s="13"/>
    </row>
    <row r="22" spans="1:17" x14ac:dyDescent="0.25">
      <c r="A22" s="16">
        <v>7.4</v>
      </c>
      <c r="B22" s="17" t="s">
        <v>21</v>
      </c>
      <c r="C22" s="11">
        <f>Sheet4!F$3</f>
        <v>82.655809375000004</v>
      </c>
      <c r="D22" s="12">
        <v>10</v>
      </c>
      <c r="E22" s="11">
        <f>C22*D22</f>
        <v>826.55809375000001</v>
      </c>
      <c r="F22" s="13"/>
      <c r="G22" s="12"/>
      <c r="H22" s="13"/>
      <c r="I22" s="13"/>
      <c r="J22" s="7"/>
      <c r="K22" s="13"/>
      <c r="L22" s="13"/>
      <c r="M22" s="7"/>
      <c r="N22" s="13"/>
      <c r="O22" s="13"/>
      <c r="P22" s="7"/>
      <c r="Q22" s="13"/>
    </row>
    <row r="23" spans="1:17" x14ac:dyDescent="0.25">
      <c r="A23" s="16">
        <v>7.5</v>
      </c>
      <c r="B23" s="17" t="s">
        <v>22</v>
      </c>
      <c r="C23" s="11">
        <f>Sheet4!F$3</f>
        <v>82.655809375000004</v>
      </c>
      <c r="D23" s="12">
        <v>30</v>
      </c>
      <c r="E23" s="11">
        <f>C23*D23</f>
        <v>2479.6742812500001</v>
      </c>
      <c r="F23" s="13">
        <f>Sheet4!F$4</f>
        <v>67.66538461538461</v>
      </c>
      <c r="G23" s="12">
        <v>5</v>
      </c>
      <c r="H23" s="13">
        <f t="shared" ref="H23" si="5">F23*G23</f>
        <v>338.32692307692304</v>
      </c>
      <c r="I23" s="13">
        <f>Sheet4!F$5</f>
        <v>52.505330769230774</v>
      </c>
      <c r="J23" s="7">
        <v>10</v>
      </c>
      <c r="K23" s="13">
        <f>I23*J23</f>
        <v>525.05330769230773</v>
      </c>
      <c r="L23" s="13"/>
      <c r="M23" s="7"/>
      <c r="N23" s="13"/>
      <c r="O23" s="13">
        <f>Sheet4!F$7</f>
        <v>46.33719360576923</v>
      </c>
      <c r="P23" s="7">
        <v>2</v>
      </c>
      <c r="Q23" s="13">
        <f>O23*P23</f>
        <v>92.674387211538459</v>
      </c>
    </row>
    <row r="24" spans="1:17" ht="23.25" x14ac:dyDescent="0.35">
      <c r="A24" s="7"/>
      <c r="B24" s="18" t="s">
        <v>31</v>
      </c>
      <c r="C24" s="12"/>
      <c r="D24" s="12">
        <f>SUM(D3:D23)</f>
        <v>271</v>
      </c>
      <c r="E24" s="11">
        <f>SUM(E2:E23)</f>
        <v>22399.724340625009</v>
      </c>
      <c r="F24" s="12"/>
      <c r="G24" s="12">
        <f>SUM(G3:G23)</f>
        <v>133</v>
      </c>
      <c r="H24" s="13">
        <f>SUM(H2:H23)</f>
        <v>8999.4961538461521</v>
      </c>
      <c r="I24" s="7"/>
      <c r="J24" s="7">
        <f>SUM(J3:J23)</f>
        <v>132</v>
      </c>
      <c r="K24" s="13">
        <f>SUM(K2:K23)</f>
        <v>6930.7036615384613</v>
      </c>
      <c r="L24" s="7"/>
      <c r="M24" s="7">
        <f>SUM(M3:M23)</f>
        <v>53</v>
      </c>
      <c r="N24" s="13">
        <f>SUM(N2:N23)</f>
        <v>2527.914805769231</v>
      </c>
      <c r="O24" s="7"/>
      <c r="P24" s="7">
        <f>SUM(P3:P23)</f>
        <v>6</v>
      </c>
      <c r="Q24" s="13">
        <f>SUM(Q3:Q23)</f>
        <v>278.02316163461535</v>
      </c>
    </row>
    <row r="25" spans="1:17" x14ac:dyDescent="0.25">
      <c r="A25" s="4"/>
      <c r="B25" s="19" t="s">
        <v>56</v>
      </c>
      <c r="C25" s="1">
        <f>D24+G24+J24+P24+M24</f>
        <v>595</v>
      </c>
      <c r="D25" s="1"/>
      <c r="E25" s="1"/>
      <c r="F25" s="1"/>
      <c r="G25" s="1"/>
    </row>
    <row r="26" spans="1:17" ht="26.25" x14ac:dyDescent="0.4">
      <c r="B26" s="5" t="s">
        <v>55</v>
      </c>
      <c r="C26" s="6">
        <f>E24+H24+K24+N24+Q23+Q3</f>
        <v>41135.86212341347</v>
      </c>
      <c r="D26" s="1"/>
      <c r="E26" s="1"/>
      <c r="F26" s="1"/>
      <c r="G26" s="1"/>
    </row>
    <row r="27" spans="1:17" x14ac:dyDescent="0.25">
      <c r="A27" s="4"/>
    </row>
    <row r="35" spans="3:3" x14ac:dyDescent="0.25">
      <c r="C35" t="s">
        <v>28</v>
      </c>
    </row>
  </sheetData>
  <pageMargins left="0.7" right="0.7" top="0.75" bottom="0.75" header="0.3" footer="0.3"/>
  <pageSetup paperSize="17" scale="87" orientation="landscape" r:id="rId1"/>
  <headerFooter>
    <oddHeader>&amp;CAppendix D: Cost of Engineering Services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view="pageLayout" zoomScaleNormal="100" workbookViewId="0">
      <selection activeCell="F3" sqref="F3:F7"/>
    </sheetView>
  </sheetViews>
  <sheetFormatPr defaultRowHeight="15" x14ac:dyDescent="0.25"/>
  <cols>
    <col min="1" max="1" width="31" bestFit="1" customWidth="1"/>
    <col min="2" max="2" width="16.42578125" customWidth="1"/>
    <col min="3" max="3" width="18.7109375" customWidth="1"/>
    <col min="4" max="4" width="14" customWidth="1"/>
    <col min="5" max="5" width="15.140625" customWidth="1"/>
    <col min="6" max="6" width="17.42578125" customWidth="1"/>
  </cols>
  <sheetData>
    <row r="1" spans="1:6" ht="12.75" customHeight="1" x14ac:dyDescent="0.25"/>
    <row r="2" spans="1:6" ht="30" x14ac:dyDescent="0.25">
      <c r="A2" s="30" t="s">
        <v>46</v>
      </c>
      <c r="B2" s="30" t="s">
        <v>23</v>
      </c>
      <c r="C2" s="30" t="s">
        <v>24</v>
      </c>
      <c r="D2" s="30" t="s">
        <v>25</v>
      </c>
      <c r="E2" s="30" t="s">
        <v>52</v>
      </c>
      <c r="F2" s="30" t="s">
        <v>45</v>
      </c>
    </row>
    <row r="3" spans="1:6" x14ac:dyDescent="0.25">
      <c r="A3" s="20" t="s">
        <v>29</v>
      </c>
      <c r="B3" s="21">
        <f>96343/(5*52*8)</f>
        <v>46.318750000000001</v>
      </c>
      <c r="C3" s="22">
        <v>0.27200000000000002</v>
      </c>
      <c r="D3" s="22">
        <v>0.12</v>
      </c>
      <c r="E3" s="22">
        <v>0.39250000000000002</v>
      </c>
      <c r="F3" s="65">
        <f>B3+(B3*C3)+(B3*D3)+(B3*E3)</f>
        <v>82.655809375000004</v>
      </c>
    </row>
    <row r="4" spans="1:6" x14ac:dyDescent="0.25">
      <c r="A4" s="24" t="s">
        <v>47</v>
      </c>
      <c r="B4" s="23">
        <f>73000/(52*5*8)</f>
        <v>35.096153846153847</v>
      </c>
      <c r="C4" s="25">
        <v>0.28999999999999998</v>
      </c>
      <c r="D4" s="22">
        <v>0.12</v>
      </c>
      <c r="E4" s="22">
        <v>0.51800000000000002</v>
      </c>
      <c r="F4" s="65">
        <f>B4+(B4*C4)+(B4*D4)+(B4*E4)</f>
        <v>67.66538461538461</v>
      </c>
    </row>
    <row r="5" spans="1:6" x14ac:dyDescent="0.25">
      <c r="A5" s="10" t="s">
        <v>48</v>
      </c>
      <c r="B5" s="13">
        <f>51321/(5*52*8)</f>
        <v>24.673557692307693</v>
      </c>
      <c r="C5" s="26">
        <v>0.27100000000000002</v>
      </c>
      <c r="D5" s="22">
        <v>0.12</v>
      </c>
      <c r="E5" s="27">
        <v>0.73699999999999999</v>
      </c>
      <c r="F5" s="65">
        <f>B5+(B5*C5)+(B5*D5)+(B5*E5)</f>
        <v>52.505330769230774</v>
      </c>
    </row>
    <row r="6" spans="1:6" x14ac:dyDescent="0.25">
      <c r="A6" s="10" t="s">
        <v>30</v>
      </c>
      <c r="B6" s="13">
        <f>43022/(5*8*52)</f>
        <v>20.683653846153845</v>
      </c>
      <c r="C6" s="28">
        <v>0.307</v>
      </c>
      <c r="D6" s="22">
        <v>0.12</v>
      </c>
      <c r="E6" s="27">
        <v>0.879</v>
      </c>
      <c r="F6" s="65">
        <f>B6+(B6*C6)+(B6*D6)+(B6*E6)</f>
        <v>47.696505769230768</v>
      </c>
    </row>
    <row r="7" spans="1:6" x14ac:dyDescent="0.25">
      <c r="A7" s="10" t="s">
        <v>50</v>
      </c>
      <c r="B7" s="13">
        <f>40869/(5*8*52)</f>
        <v>19.648557692307691</v>
      </c>
      <c r="C7" s="28">
        <v>0.313</v>
      </c>
      <c r="D7" s="22">
        <v>0.12</v>
      </c>
      <c r="E7" s="27">
        <v>0.92530000000000001</v>
      </c>
      <c r="F7" s="65">
        <f>B7+(B7*C7)+(B7*D7)+(B7*E7)</f>
        <v>46.33719360576923</v>
      </c>
    </row>
    <row r="8" spans="1:6" x14ac:dyDescent="0.25">
      <c r="D8" s="2"/>
      <c r="E8" s="2"/>
    </row>
  </sheetData>
  <pageMargins left="0.7" right="0.7" top="0.75" bottom="0.75" header="0.3" footer="0.3"/>
  <pageSetup orientation="landscape" r:id="rId1"/>
  <headerFooter>
    <oddHeader>&amp;CAppendix A:Calculated Hourly Billing Rate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Layout" zoomScaleNormal="100" workbookViewId="0">
      <selection activeCell="C21" sqref="C21"/>
    </sheetView>
  </sheetViews>
  <sheetFormatPr defaultRowHeight="15" x14ac:dyDescent="0.25"/>
  <cols>
    <col min="1" max="1" width="23.5703125" bestFit="1" customWidth="1"/>
    <col min="2" max="2" width="19.85546875" bestFit="1" customWidth="1"/>
    <col min="3" max="3" width="10.5703125" bestFit="1" customWidth="1"/>
    <col min="4" max="4" width="15.28515625" bestFit="1" customWidth="1"/>
  </cols>
  <sheetData>
    <row r="1" spans="1:12" ht="23.25" x14ac:dyDescent="0.35">
      <c r="A1" s="3"/>
    </row>
    <row r="2" spans="1:12" x14ac:dyDescent="0.25">
      <c r="A2" s="29"/>
      <c r="B2" s="29" t="s">
        <v>41</v>
      </c>
      <c r="C2" s="29" t="s">
        <v>62</v>
      </c>
      <c r="D2" s="8"/>
    </row>
    <row r="3" spans="1:12" x14ac:dyDescent="0.25">
      <c r="A3" s="10" t="s">
        <v>32</v>
      </c>
      <c r="B3" s="13">
        <f>C3/30</f>
        <v>100.02666666666667</v>
      </c>
      <c r="C3" s="13">
        <f>1.1*2728</f>
        <v>3000.8</v>
      </c>
      <c r="D3" s="7" t="s">
        <v>59</v>
      </c>
      <c r="F3" s="4"/>
    </row>
    <row r="4" spans="1:12" x14ac:dyDescent="0.25">
      <c r="A4" s="10" t="s">
        <v>33</v>
      </c>
      <c r="B4" s="13"/>
      <c r="C4" s="13"/>
      <c r="D4" s="7"/>
    </row>
    <row r="5" spans="1:12" x14ac:dyDescent="0.25">
      <c r="A5" s="7" t="s">
        <v>36</v>
      </c>
      <c r="B5" s="13">
        <f>3.67</f>
        <v>3.67</v>
      </c>
      <c r="C5" s="13">
        <v>3.67</v>
      </c>
      <c r="D5" s="7" t="s">
        <v>58</v>
      </c>
      <c r="F5" s="4"/>
    </row>
    <row r="6" spans="1:12" x14ac:dyDescent="0.25">
      <c r="A6" s="7" t="s">
        <v>37</v>
      </c>
      <c r="B6" s="13">
        <v>1.55</v>
      </c>
      <c r="C6" s="13">
        <v>1.55</v>
      </c>
      <c r="D6" s="7" t="s">
        <v>58</v>
      </c>
    </row>
    <row r="7" spans="1:12" x14ac:dyDescent="0.25">
      <c r="A7" s="7" t="s">
        <v>38</v>
      </c>
      <c r="B7" s="13">
        <v>4.01</v>
      </c>
      <c r="C7" s="13">
        <v>4.01</v>
      </c>
      <c r="D7" s="7" t="s">
        <v>58</v>
      </c>
    </row>
    <row r="8" spans="1:12" x14ac:dyDescent="0.25">
      <c r="A8" s="7" t="s">
        <v>39</v>
      </c>
      <c r="B8" s="13">
        <f>(15.5*2728*0.1022)/(52*5)</f>
        <v>16.620864615384615</v>
      </c>
      <c r="C8" s="42">
        <v>0.1022</v>
      </c>
      <c r="D8" s="7" t="s">
        <v>57</v>
      </c>
      <c r="F8" s="4"/>
      <c r="L8" s="4"/>
    </row>
    <row r="9" spans="1:12" x14ac:dyDescent="0.25">
      <c r="A9" s="7" t="s">
        <v>40</v>
      </c>
      <c r="B9" s="13">
        <f>71/30</f>
        <v>2.3666666666666667</v>
      </c>
      <c r="C9" s="13">
        <v>71</v>
      </c>
      <c r="D9" s="7" t="s">
        <v>59</v>
      </c>
      <c r="F9" s="4"/>
    </row>
    <row r="10" spans="1:12" x14ac:dyDescent="0.25">
      <c r="A10" s="10" t="s">
        <v>34</v>
      </c>
      <c r="B10" s="13"/>
      <c r="C10" s="13"/>
      <c r="D10" s="7"/>
    </row>
    <row r="11" spans="1:12" x14ac:dyDescent="0.25">
      <c r="A11" s="17" t="s">
        <v>42</v>
      </c>
      <c r="B11" s="13">
        <f>(C11*4)/(365*5)</f>
        <v>17.205479452054796</v>
      </c>
      <c r="C11" s="13">
        <v>7850</v>
      </c>
      <c r="D11" s="7" t="s">
        <v>60</v>
      </c>
    </row>
    <row r="12" spans="1:12" x14ac:dyDescent="0.25">
      <c r="A12" s="10" t="s">
        <v>35</v>
      </c>
      <c r="B12" s="13"/>
      <c r="C12" s="7"/>
      <c r="D12" s="7"/>
    </row>
    <row r="13" spans="1:12" x14ac:dyDescent="0.25">
      <c r="A13" s="17" t="s">
        <v>43</v>
      </c>
      <c r="B13" s="13">
        <f>C13/30</f>
        <v>16.666666666666668</v>
      </c>
      <c r="C13" s="13">
        <v>500</v>
      </c>
      <c r="D13" s="7" t="s">
        <v>61</v>
      </c>
    </row>
    <row r="14" spans="1:12" x14ac:dyDescent="0.25">
      <c r="A14" s="7"/>
      <c r="B14" s="13"/>
      <c r="C14" s="7"/>
      <c r="D14" s="7"/>
    </row>
    <row r="15" spans="1:12" x14ac:dyDescent="0.25">
      <c r="A15" s="10" t="s">
        <v>31</v>
      </c>
      <c r="B15" s="13">
        <f>SUM(B3:B14)</f>
        <v>162.1163440674394</v>
      </c>
      <c r="C15" s="13">
        <f>B15/8</f>
        <v>20.264543008429925</v>
      </c>
      <c r="D15" s="7" t="s">
        <v>63</v>
      </c>
    </row>
    <row r="16" spans="1:12" x14ac:dyDescent="0.25">
      <c r="A16" s="10" t="s">
        <v>53</v>
      </c>
      <c r="B16" s="7">
        <f>Sheet1!C25</f>
        <v>595</v>
      </c>
      <c r="C16" s="7" t="s">
        <v>54</v>
      </c>
      <c r="D16" s="7"/>
    </row>
    <row r="17" spans="1:4" x14ac:dyDescent="0.25">
      <c r="A17" s="7" t="s">
        <v>44</v>
      </c>
      <c r="B17" s="13">
        <f>C15*B16</f>
        <v>12057.403090015805</v>
      </c>
      <c r="C17" s="7"/>
      <c r="D17" s="7"/>
    </row>
  </sheetData>
  <pageMargins left="0.7" right="0.7" top="0.75" bottom="0.75" header="0.3" footer="0.3"/>
  <pageSetup orientation="portrait" r:id="rId1"/>
  <headerFooter>
    <oddHeader>&amp;CAppendix C: Daily Overhead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10" sqref="A10:C10"/>
    </sheetView>
  </sheetViews>
  <sheetFormatPr defaultRowHeight="15" x14ac:dyDescent="0.25"/>
  <cols>
    <col min="1" max="1" width="26.42578125" bestFit="1" customWidth="1"/>
    <col min="2" max="3" width="26.42578125" customWidth="1"/>
    <col min="4" max="4" width="15.5703125" bestFit="1" customWidth="1"/>
    <col min="7" max="7" width="12.7109375" customWidth="1"/>
    <col min="8" max="8" width="15.28515625" customWidth="1"/>
  </cols>
  <sheetData>
    <row r="1" spans="1:13" ht="15.75" thickBot="1" x14ac:dyDescent="0.3">
      <c r="A1" s="77" t="s">
        <v>78</v>
      </c>
      <c r="B1" s="76"/>
      <c r="C1" s="75" t="s">
        <v>74</v>
      </c>
      <c r="D1" s="76"/>
      <c r="E1" s="79" t="s">
        <v>72</v>
      </c>
      <c r="F1" s="80"/>
      <c r="G1" s="80"/>
      <c r="H1" s="81"/>
    </row>
    <row r="2" spans="1:13" ht="30" x14ac:dyDescent="0.25">
      <c r="A2" s="61" t="s">
        <v>77</v>
      </c>
      <c r="B2" s="44">
        <f>Sheet3!B15</f>
        <v>162.1163440674394</v>
      </c>
      <c r="C2" s="62" t="s">
        <v>79</v>
      </c>
      <c r="D2" s="63">
        <f>Sheet3!B16</f>
        <v>595</v>
      </c>
      <c r="E2" s="64" t="s">
        <v>46</v>
      </c>
      <c r="F2" s="46" t="s">
        <v>71</v>
      </c>
      <c r="G2" s="46" t="s">
        <v>70</v>
      </c>
      <c r="H2" s="47" t="s">
        <v>69</v>
      </c>
    </row>
    <row r="3" spans="1:13" ht="30.75" thickBot="1" x14ac:dyDescent="0.3">
      <c r="A3" s="58" t="s">
        <v>76</v>
      </c>
      <c r="B3" s="43">
        <f>Sheet3!C15</f>
        <v>20.264543008429925</v>
      </c>
      <c r="C3" s="56" t="s">
        <v>80</v>
      </c>
      <c r="D3" s="57">
        <f>D2*B3</f>
        <v>12057.403090015805</v>
      </c>
      <c r="E3" s="54" t="s">
        <v>29</v>
      </c>
      <c r="F3" s="48">
        <v>46.32</v>
      </c>
      <c r="G3" s="49">
        <f>B$3/F3</f>
        <v>0.43749013403346126</v>
      </c>
      <c r="H3" s="50">
        <f>F3+(F3*G3)</f>
        <v>66.584543008429932</v>
      </c>
    </row>
    <row r="4" spans="1:13" ht="30" x14ac:dyDescent="0.25">
      <c r="A4" s="55"/>
      <c r="B4" s="55"/>
      <c r="C4" s="55"/>
      <c r="D4" s="59"/>
      <c r="E4" s="54" t="s">
        <v>68</v>
      </c>
      <c r="F4" s="48">
        <v>35.1</v>
      </c>
      <c r="G4" s="49">
        <f>B$3/F4</f>
        <v>0.57733740764757624</v>
      </c>
      <c r="H4" s="50">
        <f>F4+(F4*G4)</f>
        <v>55.364543008429933</v>
      </c>
    </row>
    <row r="5" spans="1:13" x14ac:dyDescent="0.25">
      <c r="A5" s="55"/>
      <c r="B5" s="55"/>
      <c r="C5" s="55"/>
      <c r="D5" s="60"/>
      <c r="E5" s="54" t="s">
        <v>67</v>
      </c>
      <c r="F5" s="48">
        <v>24.67</v>
      </c>
      <c r="G5" s="49">
        <f>B$3/F5</f>
        <v>0.82142452405471922</v>
      </c>
      <c r="H5" s="50">
        <f>F5+(F5*G5)</f>
        <v>44.934543008429927</v>
      </c>
    </row>
    <row r="6" spans="1:13" x14ac:dyDescent="0.25">
      <c r="A6" s="55"/>
      <c r="B6" s="55"/>
      <c r="C6" s="55"/>
      <c r="D6" s="60"/>
      <c r="E6" s="54" t="s">
        <v>66</v>
      </c>
      <c r="F6" s="48">
        <v>20.68</v>
      </c>
      <c r="G6" s="49">
        <f>B$3/F6</f>
        <v>0.9799102035024142</v>
      </c>
      <c r="H6" s="50">
        <f>F6+(F6*G6)</f>
        <v>40.944543008429925</v>
      </c>
    </row>
    <row r="7" spans="1:13" ht="15.75" thickBot="1" x14ac:dyDescent="0.3">
      <c r="A7" s="82" t="s">
        <v>75</v>
      </c>
      <c r="B7" s="82"/>
      <c r="C7" s="82"/>
      <c r="D7" s="60"/>
      <c r="E7" s="51" t="s">
        <v>65</v>
      </c>
      <c r="F7" s="52">
        <v>19.649999999999999</v>
      </c>
      <c r="G7" s="53">
        <f>B$3/F7</f>
        <v>1.0312744533552125</v>
      </c>
      <c r="H7" s="45">
        <f>F7+(F7*G7)</f>
        <v>39.914543008429924</v>
      </c>
    </row>
    <row r="8" spans="1:13" x14ac:dyDescent="0.25">
      <c r="E8" s="78" t="s">
        <v>64</v>
      </c>
      <c r="F8" s="78"/>
      <c r="G8" s="78"/>
      <c r="H8" s="78"/>
      <c r="I8" s="78"/>
      <c r="J8" s="78"/>
      <c r="K8" s="78"/>
      <c r="L8" s="78"/>
      <c r="M8" s="78"/>
    </row>
    <row r="10" spans="1:13" x14ac:dyDescent="0.25">
      <c r="A10" s="74" t="s">
        <v>73</v>
      </c>
      <c r="B10" s="74"/>
      <c r="C10" s="74"/>
    </row>
  </sheetData>
  <mergeCells count="6">
    <mergeCell ref="A10:C10"/>
    <mergeCell ref="C1:D1"/>
    <mergeCell ref="A1:B1"/>
    <mergeCell ref="E8:M8"/>
    <mergeCell ref="E1:H1"/>
    <mergeCell ref="A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D5"/>
    </sheetView>
  </sheetViews>
  <sheetFormatPr defaultRowHeight="15" x14ac:dyDescent="0.25"/>
  <cols>
    <col min="1" max="1" width="35.5703125" customWidth="1"/>
    <col min="2" max="2" width="33.85546875" customWidth="1"/>
    <col min="3" max="3" width="40.7109375" customWidth="1"/>
    <col min="4" max="4" width="19.7109375" bestFit="1" customWidth="1"/>
  </cols>
  <sheetData>
    <row r="1" spans="1:4" ht="52.5" customHeight="1" thickBot="1" x14ac:dyDescent="0.3">
      <c r="A1" s="66" t="s">
        <v>81</v>
      </c>
      <c r="B1" s="66" t="s">
        <v>82</v>
      </c>
      <c r="C1" s="66" t="s">
        <v>83</v>
      </c>
      <c r="D1" s="66" t="s">
        <v>3</v>
      </c>
    </row>
    <row r="2" spans="1:4" ht="36" customHeight="1" thickTop="1" thickBot="1" x14ac:dyDescent="0.3">
      <c r="A2" s="67" t="s">
        <v>29</v>
      </c>
      <c r="B2" s="71">
        <v>82.655809375000004</v>
      </c>
      <c r="C2" s="67">
        <v>176</v>
      </c>
      <c r="D2" s="68">
        <f>B2*C2</f>
        <v>14547.42245</v>
      </c>
    </row>
    <row r="3" spans="1:4" ht="48" thickTop="1" thickBot="1" x14ac:dyDescent="0.3">
      <c r="A3" s="69" t="s">
        <v>47</v>
      </c>
      <c r="B3" s="72">
        <v>67.66538461538461</v>
      </c>
      <c r="C3" s="69">
        <v>172</v>
      </c>
      <c r="D3" s="68">
        <f t="shared" ref="D3:D5" si="0">B3*C3</f>
        <v>11638.446153846153</v>
      </c>
    </row>
    <row r="4" spans="1:4" ht="36" customHeight="1" thickTop="1" thickBot="1" x14ac:dyDescent="0.3">
      <c r="A4" s="70" t="s">
        <v>48</v>
      </c>
      <c r="B4" s="73">
        <v>52.505330769230774</v>
      </c>
      <c r="C4" s="70">
        <v>142</v>
      </c>
      <c r="D4" s="68">
        <f t="shared" si="0"/>
        <v>7455.7569692307698</v>
      </c>
    </row>
    <row r="5" spans="1:4" ht="48" thickTop="1" thickBot="1" x14ac:dyDescent="0.3">
      <c r="A5" s="69" t="s">
        <v>30</v>
      </c>
      <c r="B5" s="72">
        <v>47.696505769230768</v>
      </c>
      <c r="C5" s="69">
        <v>157</v>
      </c>
      <c r="D5" s="68">
        <f t="shared" si="0"/>
        <v>7488.351405769231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Sheet4</vt:lpstr>
      <vt:lpstr>Sheet3</vt:lpstr>
      <vt:lpstr>Sheet2</vt:lpstr>
      <vt:lpstr>Sheet5</vt:lpstr>
    </vt:vector>
  </TitlesOfParts>
  <Company>Northern Arizona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 Student</dc:creator>
  <cp:lastModifiedBy>Hasan H Kh H Mohammad</cp:lastModifiedBy>
  <cp:lastPrinted>2015-05-05T16:09:33Z</cp:lastPrinted>
  <dcterms:created xsi:type="dcterms:W3CDTF">2014-11-18T23:02:48Z</dcterms:created>
  <dcterms:modified xsi:type="dcterms:W3CDTF">2015-05-05T16:15:11Z</dcterms:modified>
</cp:coreProperties>
</file>